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10" yWindow="135" windowWidth="15435" windowHeight="12345" tabRatio="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84" i="1" l="1"/>
  <c r="S83" i="1"/>
  <c r="S80" i="1"/>
  <c r="S79" i="1"/>
  <c r="S53" i="1"/>
  <c r="S49" i="1"/>
  <c r="S45" i="1"/>
  <c r="S24" i="1"/>
  <c r="S20" i="1"/>
  <c r="S16" i="1"/>
  <c r="S12" i="1"/>
  <c r="S8" i="1"/>
  <c r="U61" i="1"/>
  <c r="U57" i="1"/>
  <c r="U53" i="1"/>
  <c r="U49" i="1"/>
  <c r="T61" i="1"/>
  <c r="T57" i="1"/>
  <c r="T53" i="1"/>
  <c r="T49" i="1"/>
  <c r="U45" i="1"/>
  <c r="T45" i="1"/>
  <c r="S61" i="1"/>
  <c r="S57" i="1"/>
  <c r="Q57" i="1"/>
  <c r="Q53" i="1"/>
  <c r="Q49" i="1"/>
  <c r="Q45" i="1"/>
  <c r="O61" i="1"/>
  <c r="P61" i="1"/>
  <c r="Q61" i="1"/>
  <c r="P57" i="1"/>
  <c r="O57" i="1"/>
  <c r="P53" i="1"/>
  <c r="O53" i="1"/>
  <c r="P49" i="1"/>
  <c r="O49" i="1"/>
  <c r="N61" i="1"/>
  <c r="N57" i="1"/>
  <c r="N53" i="1"/>
  <c r="N49" i="1"/>
  <c r="P45" i="1"/>
  <c r="L61" i="1"/>
  <c r="L60" i="1"/>
  <c r="K57" i="1"/>
  <c r="K56" i="1"/>
  <c r="J53" i="1"/>
  <c r="J52" i="1"/>
  <c r="I49" i="1"/>
  <c r="I48" i="1"/>
  <c r="H45" i="1"/>
  <c r="H44" i="1"/>
  <c r="N45" i="1"/>
  <c r="O45" i="1"/>
  <c r="Q82" i="1"/>
  <c r="P82" i="1"/>
  <c r="O82" i="1"/>
  <c r="N82" i="1"/>
  <c r="Q84" i="1"/>
  <c r="P84" i="1"/>
  <c r="O84" i="1"/>
  <c r="N84" i="1"/>
  <c r="Q83" i="1"/>
  <c r="P83" i="1"/>
  <c r="O83" i="1"/>
  <c r="N83" i="1"/>
  <c r="Q80" i="1"/>
  <c r="P80" i="1"/>
  <c r="O80" i="1"/>
  <c r="N80" i="1"/>
  <c r="N79" i="1"/>
  <c r="O79" i="1"/>
  <c r="P79" i="1"/>
  <c r="Q79" i="1"/>
  <c r="L84" i="1"/>
  <c r="K84" i="1"/>
  <c r="J84" i="1"/>
  <c r="I84" i="1"/>
  <c r="H84" i="1"/>
  <c r="L83" i="1"/>
  <c r="K83" i="1"/>
  <c r="J83" i="1"/>
  <c r="T83" i="1"/>
  <c r="U83" i="1"/>
  <c r="I83" i="1"/>
  <c r="H83" i="1"/>
  <c r="L82" i="1"/>
  <c r="K82" i="1"/>
  <c r="I82" i="1"/>
  <c r="H82" i="1"/>
  <c r="T80" i="1"/>
  <c r="U80" i="1"/>
  <c r="L80" i="1"/>
  <c r="K80" i="1"/>
  <c r="J80" i="1"/>
  <c r="I80" i="1"/>
  <c r="H80" i="1"/>
  <c r="T79" i="1"/>
  <c r="U79" i="1"/>
  <c r="L79" i="1"/>
  <c r="K79" i="1"/>
  <c r="J79" i="1"/>
  <c r="I79" i="1"/>
  <c r="H79" i="1"/>
  <c r="L77" i="1"/>
  <c r="K77" i="1"/>
  <c r="J77" i="1"/>
  <c r="I77" i="1"/>
  <c r="H77" i="1"/>
  <c r="L76" i="1"/>
  <c r="K76" i="1"/>
  <c r="J76" i="1"/>
  <c r="I76" i="1"/>
  <c r="H76" i="1"/>
  <c r="T82" i="1"/>
  <c r="L74" i="1"/>
  <c r="K74" i="1"/>
  <c r="J74" i="1"/>
  <c r="I74" i="1"/>
  <c r="H74" i="1"/>
  <c r="L73" i="1"/>
  <c r="K73" i="1"/>
  <c r="J73" i="1"/>
  <c r="I73" i="1"/>
  <c r="H73" i="1"/>
  <c r="L72" i="1"/>
  <c r="T84" i="1"/>
  <c r="U84" i="1"/>
  <c r="K72" i="1"/>
  <c r="J72" i="1"/>
  <c r="I72" i="1"/>
  <c r="H72" i="1"/>
  <c r="T8" i="1"/>
  <c r="T12" i="1"/>
  <c r="T16" i="1"/>
  <c r="T20" i="1"/>
  <c r="T24" i="1"/>
  <c r="U8" i="1"/>
  <c r="U12" i="1"/>
  <c r="U20" i="1"/>
  <c r="U24" i="1"/>
  <c r="U16" i="1"/>
  <c r="R24" i="1"/>
  <c r="Q24" i="1"/>
  <c r="P24" i="1"/>
  <c r="O24" i="1"/>
  <c r="N24" i="1"/>
  <c r="R20" i="1"/>
  <c r="Q20" i="1"/>
  <c r="P20" i="1"/>
  <c r="O20" i="1"/>
  <c r="N20" i="1"/>
  <c r="R16" i="1"/>
  <c r="Q16" i="1"/>
  <c r="P16" i="1"/>
  <c r="O16" i="1"/>
  <c r="N16" i="1"/>
  <c r="Q12" i="1"/>
  <c r="P12" i="1"/>
  <c r="O12" i="1"/>
  <c r="N12" i="1"/>
  <c r="Q8" i="1"/>
  <c r="R8" i="1"/>
  <c r="P8" i="1"/>
  <c r="O8" i="1"/>
  <c r="N8" i="1"/>
  <c r="K24" i="1"/>
  <c r="K21" i="1"/>
  <c r="H20" i="1"/>
  <c r="H17" i="1"/>
  <c r="J12" i="1"/>
  <c r="L5" i="1"/>
  <c r="L8" i="1"/>
  <c r="J9" i="1"/>
  <c r="I13" i="1"/>
  <c r="I16" i="1"/>
</calcChain>
</file>

<file path=xl/sharedStrings.xml><?xml version="1.0" encoding="utf-8"?>
<sst xmlns="http://schemas.openxmlformats.org/spreadsheetml/2006/main" count="127" uniqueCount="73">
  <si>
    <t>dilute times</t>
  </si>
  <si>
    <t>Sample ID#</t>
  </si>
  <si>
    <t xml:space="preserve">ICP results:ppm         </t>
  </si>
  <si>
    <t>Moles: M/L</t>
  </si>
  <si>
    <t>Nd</t>
  </si>
  <si>
    <t>Eu</t>
  </si>
  <si>
    <t>Dy</t>
  </si>
  <si>
    <t>Y</t>
  </si>
  <si>
    <t>Ce</t>
  </si>
  <si>
    <t>Ce--Stock  0.005M</t>
  </si>
  <si>
    <t xml:space="preserve"> </t>
  </si>
  <si>
    <t>Dy--Stock  0.005M</t>
  </si>
  <si>
    <t>Eu--Stock  0.005M</t>
  </si>
  <si>
    <t>Nd--Stock  0.005M</t>
  </si>
  <si>
    <t>Y--Stock  0.005M</t>
  </si>
  <si>
    <t>Difference Moles/Liter</t>
  </si>
  <si>
    <t>Grams/Liter</t>
  </si>
  <si>
    <t>Grams Adsorbed</t>
  </si>
  <si>
    <t>Gram of REE Per Gram of MOF</t>
  </si>
  <si>
    <t>Yitrium MW = 88.9</t>
  </si>
  <si>
    <t>gmol-1</t>
  </si>
  <si>
    <t>Cerium MW = 140</t>
  </si>
  <si>
    <t>Neodymium MW = 144</t>
  </si>
  <si>
    <t>Europium MW = 151</t>
  </si>
  <si>
    <t>Percent Removal (% R) = 100*(Ci-Cf)/Ci</t>
  </si>
  <si>
    <t>Ci = initial Concentration</t>
  </si>
  <si>
    <t>Cf = final concentration</t>
  </si>
  <si>
    <t>Kd (distribution coefficient)</t>
  </si>
  <si>
    <t>Kd = (Ci-Cf/Cf) x V/m</t>
  </si>
  <si>
    <t>Kd = Distribution Coefficient</t>
  </si>
  <si>
    <t>ci = initial concentration</t>
  </si>
  <si>
    <t>Cf = concentration at equilibrium</t>
  </si>
  <si>
    <t>v = volume treated</t>
  </si>
  <si>
    <t>m = sample used</t>
  </si>
  <si>
    <t>Percent Removal</t>
  </si>
  <si>
    <t>Distribution coefficient</t>
  </si>
  <si>
    <t xml:space="preserve">Dysprosium MW = 162 </t>
  </si>
  <si>
    <t>Praveen's samples  5-28-15</t>
  </si>
  <si>
    <t>Eu152</t>
  </si>
  <si>
    <t>Y89</t>
  </si>
  <si>
    <t>Ce140</t>
  </si>
  <si>
    <t>Nd144</t>
  </si>
  <si>
    <t>Dy162</t>
  </si>
  <si>
    <t>Amount</t>
  </si>
  <si>
    <t>Ce stock</t>
  </si>
  <si>
    <t>Y stock</t>
  </si>
  <si>
    <t>Eu stock</t>
  </si>
  <si>
    <t>Nd stock</t>
  </si>
  <si>
    <t>Y DETA@In-MOF</t>
  </si>
  <si>
    <t>Eu DETA@In-MOF</t>
  </si>
  <si>
    <t>Nd DETA@In-MOF</t>
  </si>
  <si>
    <t>Dy DETA@In-MOF</t>
  </si>
  <si>
    <t>Ce DETA@In-MOF</t>
  </si>
  <si>
    <t>Distribution Coeeficient</t>
  </si>
  <si>
    <t>%Removal</t>
  </si>
  <si>
    <t xml:space="preserve"> Dy stock</t>
  </si>
  <si>
    <t>D1  Nd stock</t>
  </si>
  <si>
    <t xml:space="preserve">      Nd--Mil 101</t>
  </si>
  <si>
    <t>D2  Eu stock</t>
  </si>
  <si>
    <t xml:space="preserve">      Eu--Mil 101</t>
  </si>
  <si>
    <t>D3  Dy stock</t>
  </si>
  <si>
    <t xml:space="preserve">      Dy--Mil 101</t>
  </si>
  <si>
    <t>D4  Y stock</t>
  </si>
  <si>
    <t xml:space="preserve">      Y--Mil 101</t>
  </si>
  <si>
    <t>D5  Ce stock</t>
  </si>
  <si>
    <t xml:space="preserve">      Ce--Mil 101</t>
  </si>
  <si>
    <t>Ce U10-66-(COOH)2</t>
  </si>
  <si>
    <t>Dy U10-66-(COOH)2</t>
  </si>
  <si>
    <t>Eu U10-66-(COOH)2</t>
  </si>
  <si>
    <t>Nd U10-66-(COOH)2</t>
  </si>
  <si>
    <t>Y U10-66-(COOH)2</t>
  </si>
  <si>
    <t>mg/g of MOF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</si>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</sst>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0.00000"/>
    <numFmt numFmtId="169" formatCode="0.0%"/>
    <numFmt numFmtId="170" formatCode="0.0"/>
    <numFmt numFmtId="171" formatCode="0.0000"/>
  </numFmts>
  <fonts count="26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mbria"/>
      <family val="1"/>
      <scheme val="major"/>
    </font>
    <font>
      <b/>
      <sz val="11"/>
      <color rgb="FFFF00FF"/>
      <name val="Palatino Linotype"/>
      <family val="1"/>
    </font>
    <font>
      <b/>
      <sz val="11"/>
      <color rgb="FF7030A0"/>
      <name val="Palatino Linotype"/>
      <family val="1"/>
    </font>
    <font>
      <b/>
      <sz val="10"/>
      <color rgb="FFFF00FF"/>
      <name val="Arial"/>
      <family val="2"/>
    </font>
    <font>
      <b/>
      <sz val="10"/>
      <color rgb="FFFF0000"/>
      <name val="Palatino Linotype"/>
      <family val="1"/>
    </font>
    <font>
      <sz val="10"/>
      <color rgb="FFFF0000"/>
      <name val="Palatino Linotype"/>
      <family val="1"/>
    </font>
    <font>
      <sz val="10"/>
      <color rgb="FFFF0000"/>
      <name val="Arial"/>
      <family val="2"/>
    </font>
    <font>
      <sz val="10"/>
      <color rgb="FF00B050"/>
      <name val="Palatino Linotype"/>
      <family val="1"/>
    </font>
    <font>
      <sz val="10"/>
      <color rgb="FF0000CC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5" fillId="0" borderId="0" xfId="0" applyFont="1"/>
    <xf numFmtId="0" fontId="16" fillId="0" borderId="0" xfId="0" applyFont="1"/>
    <xf numFmtId="0" fontId="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4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Border="1" applyAlignment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2" borderId="1" xfId="0" applyFont="1" applyFill="1" applyBorder="1" applyAlignment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3" fillId="0" borderId="0" xfId="0" applyFont="1" applyAlignment="1">
      <alignment horizontal="center"/>
    </xf>
    <xf numFmtId="10" fontId="23" fillId="0" borderId="0" xfId="0" applyNumberFormat="1" applyFont="1"/>
    <xf numFmtId="10" fontId="23" fillId="0" borderId="0" xfId="0" applyNumberFormat="1" applyFont="1" applyAlignment="1">
      <alignment horizontal="center"/>
    </xf>
    <xf numFmtId="1" fontId="23" fillId="0" borderId="0" xfId="0" applyNumberFormat="1" applyFont="1"/>
    <xf numFmtId="1" fontId="23" fillId="0" borderId="0" xfId="0" applyNumberFormat="1" applyFont="1" applyAlignment="1">
      <alignment horizontal="center"/>
    </xf>
    <xf numFmtId="168" fontId="23" fillId="0" borderId="0" xfId="0" applyNumberFormat="1" applyFont="1"/>
    <xf numFmtId="171" fontId="2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abSelected="1" zoomScale="85" zoomScaleNormal="85" workbookViewId="0">
      <selection activeCell="P89" sqref="P89"/>
    </sheetView>
  </sheetViews>
  <sheetFormatPr defaultRowHeight="12.75" x14ac:dyDescent="0.2"/>
  <cols>
    <col min="1" max="1" width="31.7109375" customWidth="1"/>
    <col min="2" max="2" width="12.42578125" customWidth="1"/>
    <col min="3" max="3" width="12.28515625" customWidth="1"/>
    <col min="4" max="4" width="12.140625" customWidth="1"/>
    <col min="5" max="5" width="10.7109375" customWidth="1"/>
    <col min="6" max="6" width="11.28515625" customWidth="1"/>
    <col min="7" max="7" width="10.5703125" customWidth="1"/>
    <col min="8" max="8" width="14.42578125" customWidth="1"/>
    <col min="9" max="10" width="13" customWidth="1"/>
    <col min="11" max="11" width="12.42578125" customWidth="1"/>
    <col min="12" max="12" width="14.85546875" customWidth="1"/>
    <col min="13" max="13" width="10.28515625" customWidth="1"/>
    <col min="14" max="14" width="27.85546875" customWidth="1"/>
    <col min="15" max="15" width="22" customWidth="1"/>
    <col min="16" max="16" width="26.7109375" customWidth="1"/>
    <col min="17" max="17" width="33.28515625" customWidth="1"/>
    <col min="18" max="18" width="25" customWidth="1"/>
    <col min="19" max="19" width="23.28515625" customWidth="1"/>
    <col min="20" max="20" width="31" hidden="1" customWidth="1"/>
    <col min="21" max="21" width="28.7109375" customWidth="1"/>
    <col min="22" max="22" width="54" customWidth="1"/>
    <col min="23" max="23" width="52.85546875" customWidth="1"/>
    <col min="24" max="24" width="29" customWidth="1"/>
  </cols>
  <sheetData>
    <row r="1" spans="1:32" ht="26.25" customHeight="1" x14ac:dyDescent="0.2">
      <c r="A1" s="4"/>
    </row>
    <row r="2" spans="1:32" ht="26.25" customHeight="1" x14ac:dyDescent="0.2">
      <c r="A2" s="4"/>
    </row>
    <row r="3" spans="1:32" ht="21" customHeight="1" x14ac:dyDescent="0.25">
      <c r="C3" s="65" t="s">
        <v>2</v>
      </c>
      <c r="D3" s="66"/>
      <c r="E3" s="66"/>
      <c r="F3" s="66"/>
      <c r="G3" s="67"/>
      <c r="H3" s="65" t="s">
        <v>3</v>
      </c>
      <c r="I3" s="66"/>
      <c r="J3" s="66"/>
      <c r="K3" s="66"/>
      <c r="L3" s="67"/>
      <c r="N3" s="72" t="s">
        <v>15</v>
      </c>
      <c r="O3" s="72" t="s">
        <v>16</v>
      </c>
      <c r="P3" s="72" t="s">
        <v>17</v>
      </c>
      <c r="Q3" s="73" t="s">
        <v>18</v>
      </c>
      <c r="R3" s="73" t="s">
        <v>71</v>
      </c>
      <c r="S3" s="73" t="s">
        <v>34</v>
      </c>
      <c r="T3" s="73" t="s">
        <v>35</v>
      </c>
      <c r="U3" s="73" t="s">
        <v>35</v>
      </c>
    </row>
    <row r="4" spans="1:32" s="20" customFormat="1" ht="18" customHeight="1" x14ac:dyDescent="0.2">
      <c r="A4" s="1" t="s">
        <v>1</v>
      </c>
      <c r="B4" s="1" t="s">
        <v>0</v>
      </c>
      <c r="C4" s="3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5" t="s">
        <v>4</v>
      </c>
      <c r="I4" s="6" t="s">
        <v>5</v>
      </c>
      <c r="J4" s="5" t="s">
        <v>6</v>
      </c>
      <c r="K4" s="7" t="s">
        <v>7</v>
      </c>
      <c r="L4" s="7" t="s">
        <v>8</v>
      </c>
      <c r="N4" s="16"/>
    </row>
    <row r="5" spans="1:32" s="20" customFormat="1" ht="18" customHeight="1" x14ac:dyDescent="0.2">
      <c r="A5" s="1" t="s">
        <v>9</v>
      </c>
      <c r="B5" s="1">
        <v>100</v>
      </c>
      <c r="C5" s="14"/>
      <c r="D5" s="14" t="s">
        <v>10</v>
      </c>
      <c r="E5" s="14"/>
      <c r="F5" s="14"/>
      <c r="G5" s="14">
        <v>7.1150000000000002</v>
      </c>
      <c r="H5" s="14"/>
      <c r="I5" s="14"/>
      <c r="J5" s="14"/>
      <c r="K5" s="14"/>
      <c r="L5" s="14">
        <f>G5*B5/140.12/1000</f>
        <v>5.0777904653154437E-3</v>
      </c>
    </row>
    <row r="6" spans="1:32" s="17" customFormat="1" ht="18" customHeight="1" x14ac:dyDescent="0.3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AD6" s="24"/>
      <c r="AE6"/>
      <c r="AF6"/>
    </row>
    <row r="7" spans="1:32" s="18" customFormat="1" ht="18" customHeight="1" x14ac:dyDescent="0.3">
      <c r="A7" s="68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21"/>
      <c r="N7" s="21"/>
      <c r="O7" s="21"/>
      <c r="P7" s="21"/>
      <c r="Q7" s="21"/>
      <c r="R7" s="21"/>
      <c r="S7" s="21"/>
      <c r="AD7" s="24"/>
      <c r="AE7"/>
      <c r="AF7"/>
    </row>
    <row r="8" spans="1:32" s="19" customFormat="1" ht="18" customHeight="1" x14ac:dyDescent="0.3">
      <c r="A8" s="68" t="s">
        <v>66</v>
      </c>
      <c r="B8" s="68">
        <v>100</v>
      </c>
      <c r="C8" s="69"/>
      <c r="D8" s="69"/>
      <c r="E8" s="69"/>
      <c r="F8" s="69"/>
      <c r="G8" s="69">
        <v>6.2990000000000004</v>
      </c>
      <c r="H8" s="69"/>
      <c r="I8" s="69"/>
      <c r="J8" s="69"/>
      <c r="K8" s="69"/>
      <c r="L8" s="69">
        <f>G8*B8/140.12/1000</f>
        <v>4.4954324864401951E-3</v>
      </c>
      <c r="N8" s="75">
        <f>(L5-L8)</f>
        <v>5.8235797887524858E-4</v>
      </c>
      <c r="O8" s="75">
        <f>(N8*140)</f>
        <v>8.1530117042534794E-2</v>
      </c>
      <c r="P8" s="75">
        <f>(O8*5/1000)</f>
        <v>4.0765058521267396E-4</v>
      </c>
      <c r="Q8" s="75">
        <f>(P8/0.0059)</f>
        <v>6.9093319527571861E-2</v>
      </c>
      <c r="R8" s="76">
        <f>(Q8*1000)</f>
        <v>69.093319527571865</v>
      </c>
      <c r="S8" s="77">
        <f>(L5-L8)/L5</f>
        <v>0.11468728039353455</v>
      </c>
      <c r="T8" s="74">
        <f>(L5-L8)/L8</f>
        <v>0.12954437212255884</v>
      </c>
      <c r="U8" s="78">
        <f>(T8*5/0.0059)</f>
        <v>109.78336620555835</v>
      </c>
      <c r="AD8" s="24"/>
      <c r="AE8"/>
      <c r="AF8"/>
    </row>
    <row r="9" spans="1:32" s="20" customFormat="1" ht="18" customHeight="1" x14ac:dyDescent="0.3">
      <c r="A9" s="1" t="s">
        <v>11</v>
      </c>
      <c r="B9" s="1">
        <v>100</v>
      </c>
      <c r="C9" s="14"/>
      <c r="D9" s="14"/>
      <c r="E9" s="14">
        <v>6.3339999999999996</v>
      </c>
      <c r="F9" s="14"/>
      <c r="G9" s="14"/>
      <c r="H9" s="14"/>
      <c r="I9" s="14"/>
      <c r="J9" s="14">
        <f>E9*B9/162.5/1000</f>
        <v>3.8978461538461536E-3</v>
      </c>
      <c r="K9" s="14"/>
      <c r="L9" s="14"/>
      <c r="N9" s="75"/>
      <c r="O9" s="75"/>
      <c r="P9" s="75"/>
      <c r="Q9" s="75"/>
      <c r="R9" s="76"/>
      <c r="S9" s="77"/>
      <c r="T9" s="74"/>
      <c r="U9" s="78"/>
      <c r="AD9" s="24"/>
      <c r="AE9"/>
      <c r="AF9"/>
    </row>
    <row r="10" spans="1:32" s="17" customFormat="1" ht="18" customHeight="1" x14ac:dyDescent="0.2">
      <c r="A10" s="68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N10" s="75"/>
      <c r="O10" s="75"/>
      <c r="P10" s="75"/>
      <c r="Q10" s="75"/>
      <c r="R10" s="76"/>
      <c r="S10" s="77"/>
      <c r="T10" s="74"/>
      <c r="U10" s="78"/>
    </row>
    <row r="11" spans="1:32" s="21" customFormat="1" ht="18" customHeight="1" x14ac:dyDescent="0.2">
      <c r="A11" s="68"/>
      <c r="B11" s="68"/>
      <c r="C11" s="69"/>
      <c r="D11" s="69"/>
      <c r="E11" s="70"/>
      <c r="F11" s="70"/>
      <c r="G11" s="69"/>
      <c r="H11" s="69"/>
      <c r="I11" s="69"/>
      <c r="J11" s="69"/>
      <c r="K11" s="69"/>
      <c r="L11" s="69"/>
      <c r="N11" s="75"/>
      <c r="O11" s="75"/>
      <c r="P11" s="75"/>
      <c r="Q11" s="75"/>
      <c r="R11" s="76"/>
      <c r="S11" s="77"/>
      <c r="T11" s="74"/>
      <c r="U11" s="78"/>
    </row>
    <row r="12" spans="1:32" s="19" customFormat="1" ht="18" customHeight="1" x14ac:dyDescent="0.2">
      <c r="A12" s="68" t="s">
        <v>67</v>
      </c>
      <c r="B12" s="68">
        <v>100</v>
      </c>
      <c r="C12" s="70"/>
      <c r="D12" s="70"/>
      <c r="E12" s="70">
        <v>5.9009999999999998</v>
      </c>
      <c r="F12" s="70"/>
      <c r="G12" s="70"/>
      <c r="H12" s="70"/>
      <c r="I12" s="69"/>
      <c r="J12" s="69">
        <f>E12*B12/162.5/1000</f>
        <v>3.6313846153846153E-3</v>
      </c>
      <c r="K12" s="70"/>
      <c r="L12" s="70"/>
      <c r="N12" s="75">
        <f>(J9-J12)</f>
        <v>2.6646153846153833E-4</v>
      </c>
      <c r="O12" s="75">
        <f>(N12*162)</f>
        <v>4.316676923076921E-2</v>
      </c>
      <c r="P12" s="75">
        <f>(O12*5/1000)</f>
        <v>2.1583384615384604E-4</v>
      </c>
      <c r="Q12" s="75">
        <f>(P12/0.0075)</f>
        <v>2.877784615384614E-2</v>
      </c>
      <c r="R12" s="76">
        <v>28.7</v>
      </c>
      <c r="S12" s="77">
        <f>(J9-J12)/J9</f>
        <v>6.8361225134196374E-2</v>
      </c>
      <c r="T12" s="74">
        <f>(J9-J12)/J12</f>
        <v>7.3377393662091131E-2</v>
      </c>
      <c r="U12" s="78">
        <f>(T12*5/0.0075)</f>
        <v>48.918262441394084</v>
      </c>
    </row>
    <row r="13" spans="1:32" s="20" customFormat="1" ht="18" customHeight="1" x14ac:dyDescent="0.2">
      <c r="A13" s="1" t="s">
        <v>12</v>
      </c>
      <c r="B13" s="1">
        <v>100</v>
      </c>
      <c r="C13" s="15"/>
      <c r="D13" s="15">
        <v>7.7889999999999997</v>
      </c>
      <c r="E13" s="15"/>
      <c r="F13" s="15"/>
      <c r="G13" s="15"/>
      <c r="H13" s="14"/>
      <c r="I13" s="14">
        <f>D13*B13/1000/151.95</f>
        <v>5.1260282987824939E-3</v>
      </c>
      <c r="J13" s="14"/>
      <c r="K13" s="14"/>
      <c r="L13" s="14"/>
      <c r="N13" s="75"/>
      <c r="O13" s="75"/>
      <c r="P13" s="75"/>
      <c r="Q13" s="75"/>
      <c r="R13" s="76"/>
      <c r="S13" s="77"/>
      <c r="T13" s="74"/>
      <c r="U13" s="78"/>
    </row>
    <row r="14" spans="1:32" s="17" customFormat="1" ht="18" customHeight="1" x14ac:dyDescent="0.2">
      <c r="A14" s="68"/>
      <c r="B14" s="68"/>
      <c r="C14" s="70"/>
      <c r="D14" s="70"/>
      <c r="E14" s="68"/>
      <c r="F14" s="70"/>
      <c r="G14" s="70"/>
      <c r="H14" s="69"/>
      <c r="I14" s="69"/>
      <c r="J14" s="69"/>
      <c r="K14" s="69"/>
      <c r="L14" s="69"/>
      <c r="N14" s="75"/>
      <c r="O14" s="75"/>
      <c r="P14" s="75"/>
      <c r="Q14" s="75"/>
      <c r="R14" s="76"/>
      <c r="S14" s="77"/>
      <c r="T14" s="74"/>
      <c r="U14" s="78"/>
    </row>
    <row r="15" spans="1:32" s="21" customFormat="1" ht="18" customHeight="1" x14ac:dyDescent="0.2">
      <c r="A15" s="68"/>
      <c r="B15" s="68"/>
      <c r="C15" s="70"/>
      <c r="D15" s="70"/>
      <c r="E15" s="68"/>
      <c r="F15" s="70"/>
      <c r="G15" s="70"/>
      <c r="H15" s="69"/>
      <c r="I15" s="69"/>
      <c r="J15" s="69"/>
      <c r="K15" s="69"/>
      <c r="L15" s="69"/>
      <c r="N15" s="75"/>
      <c r="O15" s="75"/>
      <c r="P15" s="75"/>
      <c r="Q15" s="75"/>
      <c r="R15" s="76"/>
      <c r="S15" s="77"/>
      <c r="T15" s="74"/>
      <c r="U15" s="78"/>
    </row>
    <row r="16" spans="1:32" s="19" customFormat="1" ht="18" customHeight="1" x14ac:dyDescent="0.2">
      <c r="A16" s="68" t="s">
        <v>68</v>
      </c>
      <c r="B16" s="68">
        <v>100</v>
      </c>
      <c r="C16" s="70"/>
      <c r="D16" s="70">
        <v>6.4820000000000002</v>
      </c>
      <c r="E16" s="70"/>
      <c r="F16" s="70"/>
      <c r="G16" s="70"/>
      <c r="H16" s="69"/>
      <c r="I16" s="69">
        <f>D16*B16/1000/151.95</f>
        <v>4.2658769332017113E-3</v>
      </c>
      <c r="J16" s="69"/>
      <c r="K16" s="69"/>
      <c r="L16" s="69"/>
      <c r="N16" s="75">
        <f>(I13-I16)</f>
        <v>8.6015136558078263E-4</v>
      </c>
      <c r="O16" s="75">
        <f>(N16*151)</f>
        <v>0.12988285620269818</v>
      </c>
      <c r="P16" s="75">
        <f>(O16*5/1000)</f>
        <v>6.4941428101349087E-4</v>
      </c>
      <c r="Q16" s="75">
        <f>(P16/0.0053)</f>
        <v>0.12253099641763979</v>
      </c>
      <c r="R16" s="76">
        <f>(Q16*1000)</f>
        <v>122.53099641763978</v>
      </c>
      <c r="S16" s="77">
        <f>(I13-I16)/I13</f>
        <v>0.16780074463987665</v>
      </c>
      <c r="T16" s="74">
        <f>(I13-I16)/I16</f>
        <v>0.20163529774760863</v>
      </c>
      <c r="U16" s="78">
        <f>(T16*5/0.0053)</f>
        <v>190.22197900717794</v>
      </c>
    </row>
    <row r="17" spans="1:21" s="20" customFormat="1" ht="18" customHeight="1" x14ac:dyDescent="0.2">
      <c r="A17" s="1" t="s">
        <v>13</v>
      </c>
      <c r="B17" s="1">
        <v>100</v>
      </c>
      <c r="C17" s="15">
        <v>7.21</v>
      </c>
      <c r="D17" s="15"/>
      <c r="E17" s="15"/>
      <c r="F17" s="15"/>
      <c r="G17" s="15"/>
      <c r="H17" s="14">
        <f>C17/10/144.24</f>
        <v>4.9986134220743198E-3</v>
      </c>
      <c r="I17" s="14"/>
      <c r="J17" s="14"/>
      <c r="K17" s="14"/>
      <c r="L17" s="14"/>
      <c r="N17" s="75"/>
      <c r="O17" s="75"/>
      <c r="P17" s="75"/>
      <c r="Q17" s="75"/>
      <c r="R17" s="76"/>
      <c r="S17" s="77"/>
      <c r="T17" s="74"/>
      <c r="U17" s="78"/>
    </row>
    <row r="18" spans="1:21" s="18" customFormat="1" ht="18" customHeight="1" x14ac:dyDescent="0.2">
      <c r="A18" s="68"/>
      <c r="B18" s="68"/>
      <c r="C18" s="70"/>
      <c r="D18" s="70"/>
      <c r="E18" s="68"/>
      <c r="F18" s="70"/>
      <c r="G18" s="70"/>
      <c r="H18" s="69"/>
      <c r="I18" s="69"/>
      <c r="J18" s="69"/>
      <c r="K18" s="69"/>
      <c r="L18" s="69"/>
      <c r="M18" s="17"/>
      <c r="N18" s="75"/>
      <c r="O18" s="75"/>
      <c r="P18" s="75"/>
      <c r="Q18" s="75"/>
      <c r="R18" s="76"/>
      <c r="S18" s="77"/>
      <c r="T18" s="74"/>
      <c r="U18" s="78"/>
    </row>
    <row r="19" spans="1:21" s="21" customFormat="1" ht="18" customHeight="1" x14ac:dyDescent="0.2">
      <c r="A19" s="68"/>
      <c r="B19" s="68"/>
      <c r="C19" s="70"/>
      <c r="D19" s="70"/>
      <c r="E19" s="68"/>
      <c r="F19" s="70"/>
      <c r="G19" s="70"/>
      <c r="H19" s="69"/>
      <c r="I19" s="69"/>
      <c r="J19" s="69"/>
      <c r="K19" s="69"/>
      <c r="L19" s="69"/>
      <c r="N19" s="75"/>
      <c r="O19" s="75"/>
      <c r="P19" s="75"/>
      <c r="Q19" s="75"/>
      <c r="R19" s="76"/>
      <c r="S19" s="77"/>
      <c r="T19" s="74"/>
      <c r="U19" s="78"/>
    </row>
    <row r="20" spans="1:21" s="19" customFormat="1" ht="18" customHeight="1" x14ac:dyDescent="0.2">
      <c r="A20" s="68" t="s">
        <v>69</v>
      </c>
      <c r="B20" s="68">
        <v>100</v>
      </c>
      <c r="C20" s="70">
        <v>4.944</v>
      </c>
      <c r="D20" s="70"/>
      <c r="E20" s="70"/>
      <c r="F20" s="70"/>
      <c r="G20" s="70"/>
      <c r="H20" s="69">
        <f>C20/10/144.24</f>
        <v>3.427620632279534E-3</v>
      </c>
      <c r="I20" s="69"/>
      <c r="J20" s="69"/>
      <c r="K20" s="69"/>
      <c r="L20" s="69"/>
      <c r="N20" s="75">
        <f>(H17-H20)</f>
        <v>1.5709927897947858E-3</v>
      </c>
      <c r="O20" s="75">
        <f>(N20*144)</f>
        <v>0.22622296173044915</v>
      </c>
      <c r="P20" s="75">
        <f>(O20*5/1000)</f>
        <v>1.1311148086522458E-3</v>
      </c>
      <c r="Q20" s="75">
        <f>(P20/0.0093)</f>
        <v>0.12162524824217698</v>
      </c>
      <c r="R20" s="76">
        <f>(Q20*1000)</f>
        <v>121.62524824217698</v>
      </c>
      <c r="S20" s="77">
        <f>(H17-H20)/H17</f>
        <v>0.31428571428571422</v>
      </c>
      <c r="T20" s="74">
        <f>(H17-H20)/H20</f>
        <v>0.45833333333333315</v>
      </c>
      <c r="U20" s="78">
        <f>(T20*5/0.0093)</f>
        <v>246.41577060931891</v>
      </c>
    </row>
    <row r="21" spans="1:21" s="20" customFormat="1" ht="18" customHeight="1" x14ac:dyDescent="0.2">
      <c r="A21" s="1" t="s">
        <v>14</v>
      </c>
      <c r="B21" s="1">
        <v>100</v>
      </c>
      <c r="C21" s="15"/>
      <c r="D21" s="15"/>
      <c r="E21" s="15"/>
      <c r="F21" s="15">
        <v>4.548</v>
      </c>
      <c r="G21" s="15"/>
      <c r="H21" s="14"/>
      <c r="I21" s="14"/>
      <c r="J21" s="14"/>
      <c r="K21" s="14">
        <f>F21/10/88.91</f>
        <v>5.1152851197840514E-3</v>
      </c>
      <c r="L21" s="14"/>
      <c r="N21" s="75"/>
      <c r="O21" s="75"/>
      <c r="P21" s="75"/>
      <c r="Q21" s="75"/>
      <c r="R21" s="76"/>
      <c r="S21" s="77"/>
      <c r="T21" s="74"/>
      <c r="U21" s="78"/>
    </row>
    <row r="22" spans="1:21" s="18" customFormat="1" ht="18" customHeight="1" x14ac:dyDescent="0.2">
      <c r="A22" s="68"/>
      <c r="B22" s="68"/>
      <c r="C22" s="71"/>
      <c r="D22" s="71"/>
      <c r="E22" s="71"/>
      <c r="F22" s="71"/>
      <c r="G22" s="71"/>
      <c r="H22" s="68"/>
      <c r="I22" s="68"/>
      <c r="J22" s="68"/>
      <c r="K22" s="69"/>
      <c r="L22" s="68"/>
      <c r="M22" s="17"/>
      <c r="N22" s="75"/>
      <c r="O22" s="75"/>
      <c r="P22" s="75"/>
      <c r="Q22" s="75"/>
      <c r="R22" s="76"/>
      <c r="S22" s="77"/>
      <c r="T22" s="74"/>
      <c r="U22" s="78"/>
    </row>
    <row r="23" spans="1:21" s="21" customFormat="1" ht="18" customHeight="1" x14ac:dyDescent="0.2">
      <c r="A23" s="68"/>
      <c r="B23" s="68"/>
      <c r="C23" s="71"/>
      <c r="D23" s="71"/>
      <c r="E23" s="71"/>
      <c r="F23" s="71"/>
      <c r="G23" s="71"/>
      <c r="H23" s="68"/>
      <c r="I23" s="68"/>
      <c r="J23" s="68"/>
      <c r="K23" s="69"/>
      <c r="L23" s="68"/>
      <c r="N23" s="75"/>
      <c r="O23" s="75"/>
      <c r="P23" s="75"/>
      <c r="Q23" s="75"/>
      <c r="R23" s="76"/>
      <c r="S23" s="77"/>
      <c r="T23" s="74"/>
      <c r="U23" s="78"/>
    </row>
    <row r="24" spans="1:21" s="19" customFormat="1" ht="18" customHeight="1" x14ac:dyDescent="0.2">
      <c r="A24" s="68" t="s">
        <v>70</v>
      </c>
      <c r="B24" s="68">
        <v>100</v>
      </c>
      <c r="C24" s="68"/>
      <c r="D24" s="68"/>
      <c r="E24" s="68"/>
      <c r="F24" s="68">
        <v>3.629</v>
      </c>
      <c r="G24" s="68"/>
      <c r="H24" s="68"/>
      <c r="I24" s="68"/>
      <c r="J24" s="68"/>
      <c r="K24" s="69">
        <f>F24/10/88.91</f>
        <v>4.0816556067933864E-3</v>
      </c>
      <c r="L24" s="68"/>
      <c r="N24" s="75">
        <f>(K21-K24)</f>
        <v>1.033629512990665E-3</v>
      </c>
      <c r="O24" s="75">
        <f>(N24*88.9)</f>
        <v>9.1889663704870131E-2</v>
      </c>
      <c r="P24" s="75">
        <f>(O24*5/1000)</f>
        <v>4.5944831852435066E-4</v>
      </c>
      <c r="Q24" s="75">
        <f>(P24/0.0051)</f>
        <v>9.0087905593009929E-2</v>
      </c>
      <c r="R24" s="76">
        <f>(Q24*1000)</f>
        <v>90.087905593009936</v>
      </c>
      <c r="S24" s="77">
        <f>(K21-K24)/K21</f>
        <v>0.20206684256816188</v>
      </c>
      <c r="T24" s="74">
        <f>(K21-K24)/K24</f>
        <v>0.2532378065582806</v>
      </c>
      <c r="U24" s="78">
        <f>(T24*5/0.0051)</f>
        <v>248.27235937086331</v>
      </c>
    </row>
    <row r="25" spans="1:21" ht="18" customHeight="1" x14ac:dyDescent="0.2">
      <c r="A25" s="8"/>
      <c r="B25" s="9"/>
      <c r="C25" s="10"/>
      <c r="D25" s="10"/>
      <c r="E25" s="10"/>
      <c r="F25" s="10"/>
      <c r="G25" s="10"/>
      <c r="H25" s="9"/>
      <c r="I25" s="9"/>
      <c r="J25" s="9"/>
      <c r="K25" s="9"/>
      <c r="L25" s="9"/>
    </row>
    <row r="26" spans="1:21" ht="18" customHeight="1" x14ac:dyDescent="0.2">
      <c r="A26" s="8"/>
      <c r="B26" s="9"/>
      <c r="C26" s="10"/>
      <c r="D26" s="10"/>
      <c r="E26" s="10"/>
      <c r="F26" s="10"/>
      <c r="G26" s="10"/>
      <c r="H26" s="9"/>
      <c r="I26" s="9"/>
      <c r="J26" s="9"/>
      <c r="K26" s="9"/>
      <c r="L26" s="9"/>
    </row>
    <row r="27" spans="1:21" ht="18" customHeight="1" x14ac:dyDescent="0.2">
      <c r="A27" s="8"/>
      <c r="B27" s="9"/>
      <c r="C27" s="10"/>
      <c r="D27" s="10"/>
      <c r="E27" s="10"/>
      <c r="F27" s="10"/>
      <c r="G27" s="10"/>
      <c r="H27" s="9"/>
      <c r="I27" s="9"/>
      <c r="J27" s="9"/>
      <c r="K27" s="9"/>
      <c r="L27" s="9"/>
    </row>
    <row r="28" spans="1:21" ht="18" customHeight="1" x14ac:dyDescent="0.2">
      <c r="A28" s="8"/>
      <c r="B28" s="9"/>
      <c r="C28" s="10"/>
      <c r="D28" s="10"/>
      <c r="E28" s="10"/>
      <c r="F28" s="10"/>
      <c r="G28" s="10"/>
      <c r="H28" s="9"/>
      <c r="I28" s="9"/>
      <c r="J28" s="9"/>
      <c r="K28" s="9"/>
      <c r="L28" s="9"/>
    </row>
    <row r="29" spans="1:21" ht="24.75" customHeight="1" x14ac:dyDescent="0.35">
      <c r="A29" s="22" t="s">
        <v>19</v>
      </c>
      <c r="B29" s="22" t="s">
        <v>20</v>
      </c>
      <c r="C29" s="10"/>
      <c r="D29" s="10"/>
      <c r="E29" s="23" t="s">
        <v>24</v>
      </c>
      <c r="I29" s="9"/>
      <c r="J29" s="9"/>
      <c r="K29" s="25" t="s">
        <v>27</v>
      </c>
    </row>
    <row r="30" spans="1:21" ht="18" customHeight="1" x14ac:dyDescent="0.35">
      <c r="A30" s="22"/>
      <c r="B30" s="22"/>
      <c r="C30" s="11"/>
      <c r="D30" s="11"/>
      <c r="E30" s="23"/>
      <c r="I30" s="9"/>
      <c r="J30" s="9"/>
      <c r="K30" s="25"/>
    </row>
    <row r="31" spans="1:21" ht="25.5" customHeight="1" x14ac:dyDescent="0.35">
      <c r="A31" s="22" t="s">
        <v>21</v>
      </c>
      <c r="B31" s="22" t="s">
        <v>20</v>
      </c>
      <c r="C31" s="11"/>
      <c r="D31" s="11"/>
      <c r="E31" s="23" t="s">
        <v>25</v>
      </c>
      <c r="H31" s="20"/>
      <c r="I31" s="9"/>
      <c r="J31" s="9"/>
      <c r="K31" s="25" t="s">
        <v>28</v>
      </c>
    </row>
    <row r="32" spans="1:21" ht="18" customHeight="1" x14ac:dyDescent="0.35">
      <c r="A32" s="22"/>
      <c r="B32" s="22"/>
      <c r="C32" s="11"/>
      <c r="D32" s="11"/>
      <c r="E32" s="23" t="s">
        <v>26</v>
      </c>
      <c r="H32" s="20"/>
      <c r="I32" s="9"/>
      <c r="J32" s="9"/>
      <c r="K32" s="25"/>
    </row>
    <row r="33" spans="1:21" ht="24.75" customHeight="1" x14ac:dyDescent="0.35">
      <c r="A33" s="22" t="s">
        <v>22</v>
      </c>
      <c r="B33" s="22" t="s">
        <v>20</v>
      </c>
      <c r="C33" s="11"/>
      <c r="D33" s="11"/>
      <c r="E33" s="11"/>
      <c r="F33" s="11"/>
      <c r="G33" s="11"/>
      <c r="H33" s="9"/>
      <c r="I33" s="9"/>
      <c r="J33" s="9"/>
      <c r="K33" s="25"/>
    </row>
    <row r="34" spans="1:21" ht="18" customHeight="1" x14ac:dyDescent="0.35">
      <c r="A34" s="22"/>
      <c r="B34" s="22"/>
      <c r="C34" s="11"/>
      <c r="D34" s="11"/>
      <c r="E34" s="11"/>
      <c r="F34" s="11"/>
      <c r="G34" s="11"/>
      <c r="H34" s="9"/>
      <c r="I34" s="9"/>
      <c r="J34" s="9"/>
      <c r="K34" s="25"/>
    </row>
    <row r="35" spans="1:21" ht="30.75" customHeight="1" x14ac:dyDescent="0.35">
      <c r="A35" s="22" t="s">
        <v>23</v>
      </c>
      <c r="B35" s="22" t="s">
        <v>20</v>
      </c>
      <c r="C35" s="11"/>
      <c r="D35" s="11"/>
      <c r="E35" s="11"/>
      <c r="F35" s="11"/>
      <c r="G35" s="11"/>
      <c r="H35" s="9"/>
      <c r="I35" s="9"/>
      <c r="J35" s="9"/>
      <c r="K35" s="25" t="s">
        <v>29</v>
      </c>
    </row>
    <row r="36" spans="1:21" ht="18" customHeight="1" x14ac:dyDescent="0.35">
      <c r="A36" s="20"/>
      <c r="B36" s="20"/>
      <c r="C36" s="13"/>
      <c r="D36" s="13"/>
      <c r="E36" s="13"/>
      <c r="F36" s="13"/>
      <c r="G36" s="13"/>
      <c r="H36" s="9"/>
      <c r="I36" s="9"/>
      <c r="J36" s="9"/>
      <c r="K36" s="25" t="s">
        <v>30</v>
      </c>
    </row>
    <row r="37" spans="1:21" ht="18" customHeight="1" x14ac:dyDescent="0.35">
      <c r="A37" s="20"/>
      <c r="B37" s="20"/>
      <c r="C37" s="13"/>
      <c r="D37" s="13"/>
      <c r="E37" s="13"/>
      <c r="F37" s="13"/>
      <c r="G37" s="13"/>
      <c r="H37" s="9"/>
      <c r="I37" s="9"/>
      <c r="J37" s="9"/>
      <c r="K37" s="25" t="s">
        <v>31</v>
      </c>
    </row>
    <row r="38" spans="1:21" ht="18" customHeight="1" x14ac:dyDescent="0.35">
      <c r="A38" s="22" t="s">
        <v>36</v>
      </c>
      <c r="B38" s="17" t="s">
        <v>20</v>
      </c>
      <c r="C38" s="13"/>
      <c r="D38" s="13"/>
      <c r="E38" s="13"/>
      <c r="F38" s="13"/>
      <c r="G38" s="13"/>
      <c r="H38" s="9"/>
      <c r="I38" s="9"/>
      <c r="J38" s="9"/>
      <c r="K38" s="25" t="s">
        <v>32</v>
      </c>
    </row>
    <row r="39" spans="1:21" ht="18" customHeight="1" x14ac:dyDescent="0.35">
      <c r="A39" s="12"/>
      <c r="B39" s="9"/>
      <c r="C39" s="13"/>
      <c r="D39" s="13"/>
      <c r="E39" s="13"/>
      <c r="F39" s="13"/>
      <c r="G39" s="13"/>
      <c r="H39" s="9"/>
      <c r="I39" s="9"/>
      <c r="J39" s="9"/>
      <c r="K39" s="25" t="s">
        <v>33</v>
      </c>
    </row>
    <row r="40" spans="1:21" ht="18" customHeight="1" x14ac:dyDescent="0.3">
      <c r="A40" s="34" t="s">
        <v>37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21" ht="18" customHeight="1" x14ac:dyDescent="0.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21" s="33" customFormat="1" ht="26.25" customHeight="1" x14ac:dyDescent="0.35">
      <c r="A42" s="34"/>
      <c r="B42" s="34"/>
      <c r="C42" s="89" t="s">
        <v>2</v>
      </c>
      <c r="D42" s="90"/>
      <c r="E42" s="90"/>
      <c r="F42" s="90"/>
      <c r="G42" s="91"/>
      <c r="H42" s="89" t="s">
        <v>3</v>
      </c>
      <c r="I42" s="90"/>
      <c r="J42" s="90"/>
      <c r="K42" s="90"/>
      <c r="L42" s="91"/>
      <c r="M42"/>
      <c r="N42"/>
      <c r="O42"/>
      <c r="P42"/>
      <c r="Q42"/>
    </row>
    <row r="43" spans="1:21" s="20" customFormat="1" ht="26.25" customHeight="1" x14ac:dyDescent="0.35">
      <c r="A43" s="36" t="s">
        <v>1</v>
      </c>
      <c r="B43" s="36" t="s">
        <v>0</v>
      </c>
      <c r="C43" s="37" t="s">
        <v>4</v>
      </c>
      <c r="D43" s="38" t="s">
        <v>5</v>
      </c>
      <c r="E43" s="38" t="s">
        <v>6</v>
      </c>
      <c r="F43" s="38" t="s">
        <v>7</v>
      </c>
      <c r="G43" s="38" t="s">
        <v>8</v>
      </c>
      <c r="H43" s="39" t="s">
        <v>4</v>
      </c>
      <c r="I43" s="40" t="s">
        <v>5</v>
      </c>
      <c r="J43" s="39" t="s">
        <v>6</v>
      </c>
      <c r="K43" s="41" t="s">
        <v>7</v>
      </c>
      <c r="L43" s="41" t="s">
        <v>8</v>
      </c>
      <c r="N43" s="72" t="s">
        <v>15</v>
      </c>
      <c r="O43" s="72" t="s">
        <v>16</v>
      </c>
      <c r="P43" s="72" t="s">
        <v>17</v>
      </c>
      <c r="Q43" s="73" t="s">
        <v>18</v>
      </c>
      <c r="R43" s="73" t="s">
        <v>71</v>
      </c>
      <c r="S43" s="73" t="s">
        <v>34</v>
      </c>
      <c r="T43" s="73" t="s">
        <v>35</v>
      </c>
      <c r="U43" s="73" t="s">
        <v>35</v>
      </c>
    </row>
    <row r="44" spans="1:21" s="20" customFormat="1" ht="21" customHeight="1" x14ac:dyDescent="0.3">
      <c r="A44" s="36" t="s">
        <v>56</v>
      </c>
      <c r="B44" s="36">
        <v>10</v>
      </c>
      <c r="C44" s="36">
        <v>9.1020000000000003</v>
      </c>
      <c r="D44" s="36"/>
      <c r="E44" s="36"/>
      <c r="F44" s="36"/>
      <c r="G44" s="36"/>
      <c r="H44" s="36">
        <f>C44/144.24*B44/1000</f>
        <v>6.3103161397670563E-4</v>
      </c>
      <c r="I44" s="36"/>
      <c r="J44" s="36"/>
      <c r="K44" s="36"/>
      <c r="L44" s="36"/>
    </row>
    <row r="45" spans="1:21" s="18" customFormat="1" ht="18" customHeight="1" x14ac:dyDescent="0.35">
      <c r="A45" s="36" t="s">
        <v>57</v>
      </c>
      <c r="B45" s="36">
        <v>10</v>
      </c>
      <c r="C45" s="36">
        <v>0.499</v>
      </c>
      <c r="D45" s="36"/>
      <c r="E45" s="36"/>
      <c r="F45" s="36"/>
      <c r="G45" s="36"/>
      <c r="H45" s="36">
        <f>C45/144.24*B45/1000</f>
        <v>3.4595119245701607E-5</v>
      </c>
      <c r="I45" s="36"/>
      <c r="J45" s="36"/>
      <c r="K45" s="36"/>
      <c r="L45" s="36"/>
      <c r="N45" s="85">
        <f>(H44-H45)</f>
        <v>5.9643649473100399E-4</v>
      </c>
      <c r="O45" s="85">
        <f>(N45*144)</f>
        <v>8.5886855241264576E-2</v>
      </c>
      <c r="P45" s="85">
        <f>(O45*5/1000)</f>
        <v>4.2943427620632292E-4</v>
      </c>
      <c r="Q45" s="86">
        <f>(P45/0.0067)</f>
        <v>6.4094668090495951E-2</v>
      </c>
      <c r="R45" s="79">
        <v>64</v>
      </c>
      <c r="S45" s="80">
        <f>(H44-H45)/H44</f>
        <v>0.94517688420127444</v>
      </c>
      <c r="T45" s="81">
        <f>(H44-H45)/H45</f>
        <v>17.240480961923851</v>
      </c>
      <c r="U45" s="83">
        <f>(T45*5/0.0067)</f>
        <v>12866.030568599888</v>
      </c>
    </row>
    <row r="46" spans="1:21" s="18" customFormat="1" ht="30.75" customHeight="1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N46" s="85"/>
      <c r="O46" s="85"/>
      <c r="P46" s="85"/>
      <c r="Q46" s="86"/>
      <c r="R46" s="79"/>
      <c r="S46" s="82"/>
      <c r="T46" s="79"/>
      <c r="U46" s="84"/>
    </row>
    <row r="47" spans="1:21" s="18" customFormat="1" ht="24.75" customHeight="1" x14ac:dyDescent="0.35">
      <c r="A47" s="5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N47" s="85"/>
      <c r="O47" s="85"/>
      <c r="P47" s="85"/>
      <c r="Q47" s="86"/>
      <c r="R47" s="79"/>
      <c r="S47" s="82"/>
      <c r="T47" s="79"/>
      <c r="U47" s="84"/>
    </row>
    <row r="48" spans="1:21" s="18" customFormat="1" ht="30" customHeight="1" x14ac:dyDescent="0.35">
      <c r="A48" s="54" t="s">
        <v>58</v>
      </c>
      <c r="B48" s="54">
        <v>10</v>
      </c>
      <c r="C48" s="54"/>
      <c r="D48" s="54">
        <v>8.26</v>
      </c>
      <c r="E48" s="54"/>
      <c r="F48" s="54"/>
      <c r="G48" s="54"/>
      <c r="H48" s="54"/>
      <c r="I48" s="54">
        <f>D48*B48/1000/151.95</f>
        <v>5.4359986837775585E-4</v>
      </c>
      <c r="J48" s="54"/>
      <c r="K48" s="54"/>
      <c r="L48" s="54"/>
      <c r="N48" s="85"/>
      <c r="O48" s="85"/>
      <c r="P48" s="85"/>
      <c r="Q48" s="86"/>
      <c r="R48" s="79"/>
      <c r="S48" s="82"/>
      <c r="T48" s="79"/>
      <c r="U48" s="84"/>
    </row>
    <row r="49" spans="1:21" s="18" customFormat="1" ht="18" customHeight="1" x14ac:dyDescent="0.35">
      <c r="A49" s="36" t="s">
        <v>59</v>
      </c>
      <c r="B49" s="36">
        <v>10</v>
      </c>
      <c r="C49" s="49"/>
      <c r="D49" s="49">
        <v>0.33100000000000002</v>
      </c>
      <c r="E49" s="49"/>
      <c r="F49" s="49"/>
      <c r="G49" s="49"/>
      <c r="H49" s="36"/>
      <c r="I49" s="36">
        <f>D49*B49/1000/151.95</f>
        <v>2.1783481408358013E-5</v>
      </c>
      <c r="J49" s="36"/>
      <c r="K49" s="36"/>
      <c r="L49" s="36"/>
      <c r="N49" s="85">
        <f>(I48-I49)</f>
        <v>5.2181638696939786E-4</v>
      </c>
      <c r="O49" s="85">
        <f>(N49*151)</f>
        <v>7.8794274432379074E-2</v>
      </c>
      <c r="P49" s="85">
        <f>(O49*5/1000)</f>
        <v>3.9397137216189539E-4</v>
      </c>
      <c r="Q49" s="86">
        <f>(P49/0.0055)</f>
        <v>7.163115857489008E-2</v>
      </c>
      <c r="R49" s="79">
        <v>71</v>
      </c>
      <c r="S49" s="82">
        <f>(I48-I49)/I48</f>
        <v>0.95992736077481844</v>
      </c>
      <c r="T49" s="79">
        <f>(I48-I49)/I49</f>
        <v>23.954682779456196</v>
      </c>
      <c r="U49" s="84">
        <f>(T49*5/0.0055)</f>
        <v>21776.984344960179</v>
      </c>
    </row>
    <row r="50" spans="1:21" s="18" customFormat="1" ht="30" customHeight="1" x14ac:dyDescent="0.3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N50" s="85"/>
      <c r="O50" s="85"/>
      <c r="P50" s="85"/>
      <c r="Q50" s="86"/>
      <c r="R50" s="79"/>
      <c r="S50" s="82"/>
      <c r="T50" s="79"/>
      <c r="U50" s="84"/>
    </row>
    <row r="51" spans="1:21" s="18" customFormat="1" ht="37.5" customHeight="1" x14ac:dyDescent="0.35">
      <c r="A51" s="5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N51" s="85"/>
      <c r="O51" s="85"/>
      <c r="P51" s="85"/>
      <c r="Q51" s="86"/>
      <c r="R51" s="79"/>
      <c r="S51" s="82"/>
      <c r="T51" s="79"/>
      <c r="U51" s="84"/>
    </row>
    <row r="52" spans="1:21" s="18" customFormat="1" ht="18" customHeight="1" x14ac:dyDescent="0.35">
      <c r="A52" s="54" t="s">
        <v>60</v>
      </c>
      <c r="B52" s="55">
        <v>10</v>
      </c>
      <c r="C52" s="55"/>
      <c r="D52" s="55"/>
      <c r="E52" s="56">
        <v>7.3860000000000001</v>
      </c>
      <c r="F52" s="56"/>
      <c r="G52" s="55"/>
      <c r="H52" s="54"/>
      <c r="I52" s="54"/>
      <c r="J52" s="57">
        <f>E52*B52/162.5/1000</f>
        <v>4.5452307692307693E-4</v>
      </c>
      <c r="K52" s="54"/>
      <c r="L52" s="54"/>
      <c r="N52" s="85"/>
      <c r="O52" s="85"/>
      <c r="P52" s="85"/>
      <c r="Q52" s="86"/>
      <c r="R52" s="79"/>
      <c r="S52" s="82"/>
      <c r="T52" s="79"/>
      <c r="U52" s="84"/>
    </row>
    <row r="53" spans="1:21" s="18" customFormat="1" ht="35.25" customHeight="1" x14ac:dyDescent="0.35">
      <c r="A53" s="36" t="s">
        <v>61</v>
      </c>
      <c r="B53" s="49">
        <v>10</v>
      </c>
      <c r="C53" s="58"/>
      <c r="D53" s="58"/>
      <c r="E53" s="58">
        <v>0.16600000000000001</v>
      </c>
      <c r="F53" s="58"/>
      <c r="G53" s="58"/>
      <c r="H53" s="36"/>
      <c r="I53" s="54"/>
      <c r="J53" s="59">
        <f>E53*B53/162.5/1000</f>
        <v>1.0215384615384615E-5</v>
      </c>
      <c r="K53" s="54"/>
      <c r="L53" s="54"/>
      <c r="N53" s="85">
        <f>(J52-J53)</f>
        <v>4.4430769230769231E-4</v>
      </c>
      <c r="O53" s="85">
        <f>(N53*162)</f>
        <v>7.1977846153846156E-2</v>
      </c>
      <c r="P53" s="85">
        <f>(O53*5/1000)</f>
        <v>3.5988923076923077E-4</v>
      </c>
      <c r="Q53" s="86">
        <f>(P53/0.006)</f>
        <v>5.9981538461538461E-2</v>
      </c>
      <c r="R53" s="79">
        <v>59</v>
      </c>
      <c r="S53" s="82">
        <f>(J52-J53)/J52</f>
        <v>0.97752504738694823</v>
      </c>
      <c r="T53" s="79">
        <f>(J52-J53)/J53</f>
        <v>43.493975903614462</v>
      </c>
      <c r="U53" s="84">
        <f>(T53*5/0.006)</f>
        <v>36244.979919678713</v>
      </c>
    </row>
    <row r="54" spans="1:21" s="18" customFormat="1" ht="37.5" customHeight="1" x14ac:dyDescent="0.35">
      <c r="A54" s="49"/>
      <c r="B54" s="49"/>
      <c r="C54" s="58"/>
      <c r="D54" s="58"/>
      <c r="E54" s="58"/>
      <c r="F54" s="58"/>
      <c r="G54" s="58"/>
      <c r="H54" s="49"/>
      <c r="I54" s="55"/>
      <c r="J54" s="60"/>
      <c r="K54" s="55"/>
      <c r="L54" s="55"/>
      <c r="N54" s="85"/>
      <c r="O54" s="85"/>
      <c r="P54" s="85"/>
      <c r="Q54" s="86"/>
      <c r="R54" s="79"/>
      <c r="S54" s="79"/>
      <c r="T54" s="79"/>
      <c r="U54" s="84"/>
    </row>
    <row r="55" spans="1:21" s="18" customFormat="1" ht="28.5" customHeight="1" x14ac:dyDescent="0.35">
      <c r="A55" s="59"/>
      <c r="B55" s="51"/>
      <c r="C55" s="61"/>
      <c r="D55" s="61"/>
      <c r="E55" s="61"/>
      <c r="F55" s="61"/>
      <c r="G55" s="61"/>
      <c r="H55" s="51"/>
      <c r="I55" s="51"/>
      <c r="J55" s="51"/>
      <c r="K55" s="51"/>
      <c r="L55" s="52"/>
      <c r="N55" s="85"/>
      <c r="O55" s="85"/>
      <c r="P55" s="85"/>
      <c r="Q55" s="86"/>
      <c r="R55" s="79"/>
      <c r="S55" s="79"/>
      <c r="T55" s="79"/>
      <c r="U55" s="84"/>
    </row>
    <row r="56" spans="1:21" s="18" customFormat="1" ht="28.5" customHeight="1" x14ac:dyDescent="0.35">
      <c r="A56" s="54" t="s">
        <v>62</v>
      </c>
      <c r="B56" s="55">
        <v>10</v>
      </c>
      <c r="C56" s="62"/>
      <c r="D56" s="62"/>
      <c r="E56" s="62"/>
      <c r="F56" s="62">
        <v>3.282</v>
      </c>
      <c r="G56" s="62"/>
      <c r="H56" s="54"/>
      <c r="I56" s="54"/>
      <c r="J56" s="54"/>
      <c r="K56" s="57">
        <f>F56*B56/88.91/1000</f>
        <v>3.6913732988415256E-4</v>
      </c>
      <c r="L56" s="54"/>
      <c r="N56" s="85"/>
      <c r="O56" s="85"/>
      <c r="P56" s="85"/>
      <c r="Q56" s="86"/>
      <c r="R56" s="79"/>
      <c r="S56" s="79"/>
      <c r="T56" s="79"/>
      <c r="U56" s="84"/>
    </row>
    <row r="57" spans="1:21" s="18" customFormat="1" ht="25.5" customHeight="1" x14ac:dyDescent="0.35">
      <c r="A57" s="36" t="s">
        <v>63</v>
      </c>
      <c r="B57" s="49">
        <v>10</v>
      </c>
      <c r="C57" s="63"/>
      <c r="D57" s="63"/>
      <c r="E57" s="62"/>
      <c r="F57" s="62">
        <v>0.376</v>
      </c>
      <c r="G57" s="63"/>
      <c r="H57" s="36"/>
      <c r="I57" s="54"/>
      <c r="J57" s="54"/>
      <c r="K57" s="59">
        <f>F57*B57/88.91/1000</f>
        <v>4.2289956135417837E-5</v>
      </c>
      <c r="L57" s="54"/>
      <c r="N57" s="85">
        <f>(K56-K57)</f>
        <v>3.2684737374873472E-4</v>
      </c>
      <c r="O57" s="85">
        <f>(N57*88.9)</f>
        <v>2.9056731526262519E-2</v>
      </c>
      <c r="P57" s="85">
        <f>(O57*5/1000)</f>
        <v>1.4528365763131259E-4</v>
      </c>
      <c r="Q57" s="86">
        <f>(P57/0.005)</f>
        <v>2.9056731526262519E-2</v>
      </c>
      <c r="R57" s="79">
        <v>29</v>
      </c>
      <c r="S57" s="79">
        <f>100*(K56-K57)/K56</f>
        <v>88.543570993296768</v>
      </c>
      <c r="T57" s="79">
        <f>(K56-K57)/K57</f>
        <v>7.7287234042553203</v>
      </c>
      <c r="U57" s="84">
        <f>(T57*5/0.005)</f>
        <v>7728.7234042553209</v>
      </c>
    </row>
    <row r="58" spans="1:21" s="18" customFormat="1" ht="25.5" customHeight="1" x14ac:dyDescent="0.35">
      <c r="A58" s="49"/>
      <c r="B58" s="49"/>
      <c r="C58" s="56"/>
      <c r="D58" s="56"/>
      <c r="E58" s="56"/>
      <c r="F58" s="56"/>
      <c r="G58" s="56"/>
      <c r="H58" s="49"/>
      <c r="I58" s="55"/>
      <c r="J58" s="55"/>
      <c r="K58" s="60"/>
      <c r="L58" s="55"/>
      <c r="N58" s="85"/>
      <c r="O58" s="85"/>
      <c r="P58" s="85"/>
      <c r="Q58" s="86"/>
      <c r="R58" s="79"/>
      <c r="S58" s="79"/>
      <c r="T58" s="79"/>
      <c r="U58" s="84"/>
    </row>
    <row r="59" spans="1:21" s="18" customFormat="1" ht="17.25" x14ac:dyDescent="0.35">
      <c r="A59" s="59"/>
      <c r="B59" s="51"/>
      <c r="C59" s="61"/>
      <c r="D59" s="61"/>
      <c r="E59" s="61"/>
      <c r="F59" s="61"/>
      <c r="G59" s="61"/>
      <c r="H59" s="51"/>
      <c r="I59" s="51"/>
      <c r="J59" s="51"/>
      <c r="K59" s="51"/>
      <c r="L59" s="52"/>
      <c r="N59" s="85"/>
      <c r="O59" s="85"/>
      <c r="P59" s="85"/>
      <c r="Q59" s="86"/>
      <c r="R59" s="79"/>
      <c r="S59" s="79"/>
      <c r="T59" s="79"/>
      <c r="U59" s="84"/>
    </row>
    <row r="60" spans="1:21" s="18" customFormat="1" ht="17.25" x14ac:dyDescent="0.35">
      <c r="A60" s="54" t="s">
        <v>64</v>
      </c>
      <c r="B60" s="55">
        <v>10</v>
      </c>
      <c r="C60" s="62"/>
      <c r="D60" s="62"/>
      <c r="E60" s="62"/>
      <c r="F60" s="62"/>
      <c r="G60" s="62">
        <v>4.5590000000000002</v>
      </c>
      <c r="H60" s="54"/>
      <c r="I60" s="54"/>
      <c r="J60" s="36"/>
      <c r="K60" s="54"/>
      <c r="L60" s="54">
        <f>G60*B60/140.12/1000</f>
        <v>3.2536397373679704E-4</v>
      </c>
      <c r="N60" s="85"/>
      <c r="O60" s="85"/>
      <c r="P60" s="85"/>
      <c r="Q60" s="86"/>
      <c r="R60" s="79"/>
      <c r="S60" s="79"/>
      <c r="T60" s="79"/>
      <c r="U60" s="84"/>
    </row>
    <row r="61" spans="1:21" s="18" customFormat="1" ht="17.25" x14ac:dyDescent="0.35">
      <c r="A61" s="36" t="s">
        <v>65</v>
      </c>
      <c r="B61" s="49">
        <v>10</v>
      </c>
      <c r="C61" s="63"/>
      <c r="D61" s="63"/>
      <c r="E61" s="63"/>
      <c r="F61" s="63"/>
      <c r="G61" s="63">
        <v>0.17100000000000001</v>
      </c>
      <c r="H61" s="36"/>
      <c r="I61" s="54"/>
      <c r="J61" s="36"/>
      <c r="K61" s="54"/>
      <c r="L61" s="54">
        <f>G61*B61/140.12/1000</f>
        <v>1.2203825292606339E-5</v>
      </c>
      <c r="N61" s="85">
        <f>(L60-L61)</f>
        <v>3.1316014844419069E-4</v>
      </c>
      <c r="O61" s="85">
        <f>(N61*140)</f>
        <v>4.3842420782186697E-2</v>
      </c>
      <c r="P61" s="85">
        <f>(O61*5/1000)</f>
        <v>2.1921210391093347E-4</v>
      </c>
      <c r="Q61" s="86">
        <f>(P61/0.0061)</f>
        <v>3.5936410477202203E-2</v>
      </c>
      <c r="R61" s="79">
        <v>35</v>
      </c>
      <c r="S61" s="79">
        <f>100*(L60-L61)/L60</f>
        <v>96.249177451195422</v>
      </c>
      <c r="T61" s="79">
        <f>(L60-L61)/L61</f>
        <v>25.66081871345029</v>
      </c>
      <c r="U61" s="84">
        <f>(T61*5/0.0061)</f>
        <v>21033.457961844499</v>
      </c>
    </row>
    <row r="62" spans="1:21" s="33" customFormat="1" ht="15" x14ac:dyDescent="0.3">
      <c r="A62" s="48"/>
      <c r="B62" s="49"/>
      <c r="C62" s="58"/>
      <c r="D62" s="58"/>
      <c r="E62" s="58"/>
      <c r="F62" s="58"/>
      <c r="G62" s="58"/>
      <c r="H62" s="49"/>
      <c r="I62" s="55"/>
      <c r="J62" s="36"/>
      <c r="K62" s="55"/>
      <c r="L62" s="54"/>
    </row>
    <row r="63" spans="1:21" ht="15" x14ac:dyDescent="0.3">
      <c r="A63" s="50"/>
      <c r="B63" s="51"/>
      <c r="C63" s="61"/>
      <c r="D63" s="61"/>
      <c r="E63" s="61"/>
      <c r="F63" s="61"/>
      <c r="G63" s="61"/>
      <c r="H63" s="51"/>
      <c r="I63" s="51"/>
      <c r="J63" s="51"/>
      <c r="K63" s="51"/>
      <c r="L63" s="52"/>
    </row>
    <row r="64" spans="1:21" ht="15" x14ac:dyDescent="0.3">
      <c r="A64" s="53"/>
      <c r="B64" s="62"/>
      <c r="C64" s="62"/>
      <c r="D64" s="62"/>
      <c r="E64" s="62"/>
      <c r="F64" s="62"/>
      <c r="G64" s="62"/>
      <c r="H64" s="54"/>
      <c r="I64" s="54"/>
      <c r="J64" s="57"/>
      <c r="K64" s="57"/>
      <c r="L64" s="54"/>
    </row>
    <row r="65" spans="1:25" ht="15" x14ac:dyDescent="0.3">
      <c r="A65" s="35"/>
      <c r="B65" s="36"/>
      <c r="C65" s="36"/>
      <c r="D65" s="36"/>
      <c r="E65" s="36"/>
      <c r="F65" s="36"/>
      <c r="G65" s="36"/>
      <c r="H65" s="54"/>
      <c r="I65" s="54"/>
      <c r="J65" s="57"/>
      <c r="K65" s="57"/>
      <c r="L65" s="54"/>
    </row>
    <row r="68" spans="1:25" s="33" customFormat="1" ht="26.25" customHeight="1" x14ac:dyDescent="0.35">
      <c r="A68" s="34" t="s">
        <v>37</v>
      </c>
      <c r="B68" s="34" t="s">
        <v>38</v>
      </c>
      <c r="C68" s="34" t="s">
        <v>39</v>
      </c>
      <c r="D68" s="34" t="s">
        <v>40</v>
      </c>
      <c r="E68" s="34" t="s">
        <v>41</v>
      </c>
      <c r="F68" s="34" t="s">
        <v>42</v>
      </c>
      <c r="G68" s="34"/>
      <c r="H68" s="34"/>
      <c r="I68" s="34"/>
      <c r="J68" s="34"/>
      <c r="K68" s="34"/>
      <c r="L68" s="34"/>
      <c r="M68" s="34" t="s">
        <v>43</v>
      </c>
      <c r="N68" s="72" t="s">
        <v>15</v>
      </c>
      <c r="O68" s="72" t="s">
        <v>16</v>
      </c>
      <c r="P68" s="72" t="s">
        <v>17</v>
      </c>
      <c r="Q68" s="73" t="s">
        <v>18</v>
      </c>
      <c r="R68" s="64" t="s">
        <v>71</v>
      </c>
      <c r="S68" s="87" t="s">
        <v>54</v>
      </c>
      <c r="T68" s="87" t="s">
        <v>53</v>
      </c>
      <c r="U68" s="87" t="s">
        <v>53</v>
      </c>
    </row>
    <row r="69" spans="1:25" ht="26.25" customHeight="1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O69" s="26"/>
      <c r="R69" s="26"/>
      <c r="S69" s="26"/>
      <c r="T69" s="26"/>
      <c r="V69" s="27"/>
      <c r="W69" s="27"/>
      <c r="X69" s="27"/>
      <c r="Y69" s="27"/>
    </row>
    <row r="70" spans="1:25" ht="21" customHeight="1" x14ac:dyDescent="0.35">
      <c r="A70" s="26"/>
      <c r="B70" s="26"/>
      <c r="C70" s="92" t="s">
        <v>2</v>
      </c>
      <c r="D70" s="93"/>
      <c r="E70" s="93"/>
      <c r="F70" s="93"/>
      <c r="G70" s="94"/>
      <c r="H70" s="92" t="s">
        <v>3</v>
      </c>
      <c r="I70" s="93"/>
      <c r="J70" s="93"/>
      <c r="K70" s="93"/>
      <c r="L70" s="94"/>
      <c r="M70" s="26"/>
      <c r="O70" s="26"/>
      <c r="R70" s="26"/>
      <c r="S70" s="26"/>
      <c r="T70" s="26"/>
      <c r="V70" s="27"/>
      <c r="W70" s="27"/>
      <c r="X70" s="27"/>
      <c r="Y70" s="27"/>
    </row>
    <row r="71" spans="1:25" ht="18" customHeight="1" x14ac:dyDescent="0.35">
      <c r="A71" s="35" t="s">
        <v>1</v>
      </c>
      <c r="B71" s="36" t="s">
        <v>0</v>
      </c>
      <c r="C71" s="37" t="s">
        <v>4</v>
      </c>
      <c r="D71" s="38" t="s">
        <v>5</v>
      </c>
      <c r="E71" s="38" t="s">
        <v>6</v>
      </c>
      <c r="F71" s="38" t="s">
        <v>7</v>
      </c>
      <c r="G71" s="38" t="s">
        <v>8</v>
      </c>
      <c r="H71" s="39" t="s">
        <v>4</v>
      </c>
      <c r="I71" s="40" t="s">
        <v>5</v>
      </c>
      <c r="J71" s="39" t="s">
        <v>6</v>
      </c>
      <c r="K71" s="41" t="s">
        <v>7</v>
      </c>
      <c r="L71" s="41" t="s">
        <v>8</v>
      </c>
      <c r="M71" s="26"/>
      <c r="O71" s="26"/>
      <c r="R71" s="26"/>
      <c r="S71" s="26"/>
      <c r="T71" s="26"/>
      <c r="V71" s="27"/>
      <c r="W71" s="27"/>
      <c r="X71" s="27"/>
      <c r="Y71" s="27"/>
    </row>
    <row r="72" spans="1:25" ht="18" customHeight="1" x14ac:dyDescent="0.3">
      <c r="A72" s="35" t="s">
        <v>44</v>
      </c>
      <c r="B72" s="36">
        <v>10</v>
      </c>
      <c r="C72" s="42"/>
      <c r="D72" s="42"/>
      <c r="E72" s="42"/>
      <c r="F72" s="42"/>
      <c r="G72" s="42">
        <v>9.5709999999999997</v>
      </c>
      <c r="H72" s="36">
        <f>C72*B72/144.24/1000</f>
        <v>0</v>
      </c>
      <c r="I72" s="36">
        <f>D72*B72/1000/151.95</f>
        <v>0</v>
      </c>
      <c r="J72" s="36">
        <f>E72*B72/162.5/1000</f>
        <v>0</v>
      </c>
      <c r="K72" s="36">
        <f>F72*B72/88.91/1000</f>
        <v>0</v>
      </c>
      <c r="L72" s="36">
        <f>G72*B72/140.12/1000</f>
        <v>6.8305737938909494E-4</v>
      </c>
      <c r="M72" s="26"/>
      <c r="O72" s="26"/>
      <c r="R72" s="26"/>
      <c r="S72" s="28"/>
      <c r="T72" s="26"/>
    </row>
    <row r="73" spans="1:25" ht="18" customHeight="1" x14ac:dyDescent="0.3">
      <c r="A73" s="35" t="s">
        <v>45</v>
      </c>
      <c r="B73" s="36">
        <v>10</v>
      </c>
      <c r="C73" s="42"/>
      <c r="D73" s="42"/>
      <c r="E73" s="42"/>
      <c r="F73" s="42">
        <v>5.077</v>
      </c>
      <c r="G73" s="42"/>
      <c r="H73" s="36">
        <f>C73*B73/144.24/1000</f>
        <v>0</v>
      </c>
      <c r="I73" s="36">
        <f>D73*B73/1000/151.95</f>
        <v>0</v>
      </c>
      <c r="J73" s="36">
        <f>E73*B73/162.5/1000</f>
        <v>0</v>
      </c>
      <c r="K73" s="36">
        <f>F73*B73/88.91/1000</f>
        <v>5.7102688111573493E-4</v>
      </c>
      <c r="L73" s="36">
        <f>G73*B73/140.12/1000</f>
        <v>0</v>
      </c>
      <c r="M73" s="26"/>
      <c r="O73" s="26"/>
      <c r="R73" s="26"/>
      <c r="S73" s="28"/>
      <c r="T73" s="26"/>
    </row>
    <row r="74" spans="1:25" ht="18" customHeight="1" x14ac:dyDescent="0.3">
      <c r="A74" s="35" t="s">
        <v>46</v>
      </c>
      <c r="B74" s="36">
        <v>10</v>
      </c>
      <c r="C74" s="42"/>
      <c r="D74" s="42">
        <v>6.5830000000000002</v>
      </c>
      <c r="E74" s="42"/>
      <c r="F74" s="42"/>
      <c r="G74" s="42"/>
      <c r="H74" s="36">
        <f>C74*B74/144.24/1000</f>
        <v>0</v>
      </c>
      <c r="I74" s="36">
        <f>D74*B74/1000/151.95</f>
        <v>4.3323461665021392E-4</v>
      </c>
      <c r="J74" s="36">
        <f>E74*B74/162.5/1000</f>
        <v>0</v>
      </c>
      <c r="K74" s="36">
        <f>F74*B74/88.91/1000</f>
        <v>0</v>
      </c>
      <c r="L74" s="36">
        <f>G74*B74/140.12/1000</f>
        <v>0</v>
      </c>
      <c r="M74" s="26"/>
      <c r="O74" s="26"/>
      <c r="R74" s="26"/>
      <c r="S74" s="28"/>
      <c r="T74" s="26"/>
    </row>
    <row r="75" spans="1:25" ht="18" customHeight="1" x14ac:dyDescent="0.3">
      <c r="A75" s="35"/>
      <c r="B75" s="36"/>
      <c r="C75" s="42"/>
      <c r="D75" s="42"/>
      <c r="E75" s="42"/>
      <c r="F75" s="42"/>
      <c r="G75" s="42"/>
      <c r="H75" s="36"/>
      <c r="I75" s="36"/>
      <c r="J75" s="36"/>
      <c r="K75" s="36"/>
      <c r="L75" s="36"/>
      <c r="M75" s="26"/>
      <c r="O75" s="26"/>
      <c r="R75" s="26"/>
      <c r="S75" s="28"/>
      <c r="T75" s="26"/>
    </row>
    <row r="76" spans="1:25" ht="18" customHeight="1" x14ac:dyDescent="0.3">
      <c r="A76" s="35" t="s">
        <v>47</v>
      </c>
      <c r="B76" s="36">
        <v>10</v>
      </c>
      <c r="C76" s="42">
        <v>9.9160000000000004</v>
      </c>
      <c r="D76" s="42"/>
      <c r="E76" s="42"/>
      <c r="F76" s="42"/>
      <c r="G76" s="42"/>
      <c r="H76" s="36">
        <f>C76*B76/144.24/1000</f>
        <v>6.8746533555185795E-4</v>
      </c>
      <c r="I76" s="36">
        <f>D76*B76/1000/151.95</f>
        <v>0</v>
      </c>
      <c r="J76" s="36">
        <f>E76*B76/162.5/1000</f>
        <v>0</v>
      </c>
      <c r="K76" s="36">
        <f>F76*B76/88.91/1000</f>
        <v>0</v>
      </c>
      <c r="L76" s="36">
        <f>G76*B76/140.12/1000</f>
        <v>0</v>
      </c>
      <c r="M76" s="26"/>
      <c r="O76" s="26"/>
      <c r="R76" s="26"/>
      <c r="S76" s="28"/>
      <c r="T76" s="26"/>
    </row>
    <row r="77" spans="1:25" ht="18" customHeight="1" x14ac:dyDescent="0.3">
      <c r="A77" s="35" t="s">
        <v>55</v>
      </c>
      <c r="B77" s="36">
        <v>10</v>
      </c>
      <c r="C77" s="43"/>
      <c r="D77" s="43"/>
      <c r="E77" s="43">
        <v>7.2770000000000001</v>
      </c>
      <c r="F77" s="43"/>
      <c r="G77" s="43"/>
      <c r="H77" s="36">
        <f>C77*B77/144.24/1000</f>
        <v>0</v>
      </c>
      <c r="I77" s="36">
        <f>D77*B77/1000/151.95</f>
        <v>0</v>
      </c>
      <c r="J77" s="36">
        <f>E77*B77/162.5/1000</f>
        <v>4.4781538461538463E-4</v>
      </c>
      <c r="K77" s="36">
        <f>F77*B77/88.91/1000</f>
        <v>0</v>
      </c>
      <c r="L77" s="36">
        <f>G77*B77/140.12/1000</f>
        <v>0</v>
      </c>
      <c r="M77" s="26"/>
      <c r="O77" s="26"/>
      <c r="R77" s="26"/>
      <c r="S77" s="28"/>
    </row>
    <row r="78" spans="1:25" s="30" customFormat="1" ht="18" customHeight="1" x14ac:dyDescent="0.3">
      <c r="A78" s="44"/>
      <c r="B78" s="45"/>
      <c r="C78" s="46"/>
      <c r="D78" s="46"/>
      <c r="E78" s="47"/>
      <c r="F78" s="47"/>
      <c r="G78" s="46"/>
      <c r="H78" s="45"/>
      <c r="I78" s="45"/>
      <c r="J78" s="45"/>
      <c r="K78" s="45"/>
      <c r="L78" s="45"/>
      <c r="M78" s="29"/>
      <c r="O78" s="29"/>
      <c r="R78" s="29"/>
      <c r="S78" s="28"/>
      <c r="T78" s="29"/>
    </row>
    <row r="79" spans="1:25" s="30" customFormat="1" ht="18" customHeight="1" x14ac:dyDescent="0.3">
      <c r="A79" s="35" t="s">
        <v>48</v>
      </c>
      <c r="B79" s="36">
        <v>10</v>
      </c>
      <c r="C79" s="43"/>
      <c r="D79" s="43"/>
      <c r="E79" s="43"/>
      <c r="F79" s="43">
        <v>1E-3</v>
      </c>
      <c r="G79" s="43"/>
      <c r="H79" s="36">
        <f t="shared" ref="H79:H84" si="0">C79*B79/144.24/1000</f>
        <v>0</v>
      </c>
      <c r="I79" s="36">
        <f t="shared" ref="I79:I84" si="1">D79*B79/1000/151.95</f>
        <v>0</v>
      </c>
      <c r="J79" s="36">
        <f t="shared" ref="J79:J84" si="2">E79*B79/162.5/1000</f>
        <v>0</v>
      </c>
      <c r="K79" s="36">
        <f t="shared" ref="K79:K84" si="3">F79*B79/88.91/1000</f>
        <v>1.1247328759419639E-7</v>
      </c>
      <c r="L79" s="36">
        <f t="shared" ref="L79:L84" si="4">G79*B79/140.12/1000</f>
        <v>0</v>
      </c>
      <c r="M79" s="31"/>
      <c r="N79" s="100">
        <f>(K73-K79)</f>
        <v>5.7091440782814078E-4</v>
      </c>
      <c r="O79" s="100">
        <f>(N79*89)</f>
        <v>5.0811382296704531E-2</v>
      </c>
      <c r="P79" s="100">
        <f>(O79*5/1000)</f>
        <v>2.5405691148352267E-4</v>
      </c>
      <c r="Q79" s="101">
        <f>(P79/0.0109)</f>
        <v>2.3307973530598412E-2</v>
      </c>
      <c r="R79" s="88">
        <v>23.3</v>
      </c>
      <c r="S79" s="96">
        <f>(K73-K79)/K73</f>
        <v>0.99980303328737452</v>
      </c>
      <c r="T79" s="88">
        <f>(K73-K79)/K79</f>
        <v>5075.9999999999991</v>
      </c>
      <c r="U79" s="98">
        <f>T79*5/0.0109</f>
        <v>2328440.3669724767</v>
      </c>
    </row>
    <row r="80" spans="1:25" ht="18" customHeight="1" x14ac:dyDescent="0.3">
      <c r="A80" s="35" t="s">
        <v>49</v>
      </c>
      <c r="B80" s="36">
        <v>10</v>
      </c>
      <c r="C80" s="43"/>
      <c r="D80" s="43">
        <v>1E-3</v>
      </c>
      <c r="E80" s="43"/>
      <c r="F80" s="43"/>
      <c r="G80" s="43"/>
      <c r="H80" s="36">
        <f t="shared" si="0"/>
        <v>0</v>
      </c>
      <c r="I80" s="36">
        <f t="shared" si="1"/>
        <v>6.5811122079631472E-8</v>
      </c>
      <c r="J80" s="36">
        <f t="shared" si="2"/>
        <v>0</v>
      </c>
      <c r="K80" s="36">
        <f t="shared" si="3"/>
        <v>0</v>
      </c>
      <c r="L80" s="36">
        <f t="shared" si="4"/>
        <v>0</v>
      </c>
      <c r="M80" s="31"/>
      <c r="N80" s="100">
        <f>(I74-I80)</f>
        <v>4.3316880552813426E-4</v>
      </c>
      <c r="O80" s="100">
        <f>(N80*152)</f>
        <v>6.584165844027641E-2</v>
      </c>
      <c r="P80" s="100">
        <f>(O80*5/1000)</f>
        <v>3.2920829220138201E-4</v>
      </c>
      <c r="Q80" s="101">
        <f>(P80/0.0061)</f>
        <v>5.3968572492029833E-2</v>
      </c>
      <c r="R80" s="88">
        <v>53.96</v>
      </c>
      <c r="S80" s="96">
        <f>(I74-I80)/I74</f>
        <v>0.99984809357435811</v>
      </c>
      <c r="T80" s="88">
        <f>(I74-I80)/I80</f>
        <v>6581.9999999999991</v>
      </c>
      <c r="U80" s="98">
        <f>T80*5/0.0061</f>
        <v>5395081.9672131129</v>
      </c>
    </row>
    <row r="81" spans="1:21" s="32" customFormat="1" ht="18" customHeight="1" x14ac:dyDescent="0.3">
      <c r="A81" s="35"/>
      <c r="B81" s="36"/>
      <c r="C81" s="43"/>
      <c r="D81" s="43"/>
      <c r="E81" s="43"/>
      <c r="F81" s="43"/>
      <c r="G81" s="43"/>
      <c r="H81" s="36"/>
      <c r="I81" s="36"/>
      <c r="J81" s="36"/>
      <c r="K81" s="36"/>
      <c r="L81" s="36"/>
      <c r="M81" s="31"/>
      <c r="N81" s="100"/>
      <c r="O81" s="100"/>
      <c r="P81" s="100"/>
      <c r="Q81" s="101"/>
      <c r="R81" s="88"/>
      <c r="S81" s="96"/>
      <c r="T81" s="88"/>
      <c r="U81" s="98"/>
    </row>
    <row r="82" spans="1:21" s="32" customFormat="1" ht="18" customHeight="1" x14ac:dyDescent="0.3">
      <c r="A82" s="35" t="s">
        <v>50</v>
      </c>
      <c r="B82" s="36">
        <v>10</v>
      </c>
      <c r="C82" s="43">
        <v>0</v>
      </c>
      <c r="D82" s="43"/>
      <c r="E82" s="43"/>
      <c r="F82" s="43"/>
      <c r="G82" s="43"/>
      <c r="H82" s="36">
        <f t="shared" si="0"/>
        <v>0</v>
      </c>
      <c r="I82" s="36">
        <f t="shared" si="1"/>
        <v>0</v>
      </c>
      <c r="J82" s="36">
        <v>0</v>
      </c>
      <c r="K82" s="36">
        <f t="shared" si="3"/>
        <v>0</v>
      </c>
      <c r="L82" s="36">
        <f t="shared" si="4"/>
        <v>0</v>
      </c>
      <c r="M82" s="31"/>
      <c r="N82" s="100">
        <f>(H76-H82)</f>
        <v>6.8746533555185795E-4</v>
      </c>
      <c r="O82" s="100">
        <f>(N82*144)</f>
        <v>9.8995008319467545E-2</v>
      </c>
      <c r="P82" s="100">
        <f>(O82*5/1000)</f>
        <v>4.949750415973377E-4</v>
      </c>
      <c r="Q82" s="101">
        <f>(P82/0.0086)</f>
        <v>5.7555237395039267E-2</v>
      </c>
      <c r="R82" s="88">
        <v>57.55</v>
      </c>
      <c r="S82" s="97" t="s">
        <v>72</v>
      </c>
      <c r="T82" s="95" t="e">
        <f>(H76-H82)/H82</f>
        <v>#DIV/0!</v>
      </c>
      <c r="U82" s="99" t="s">
        <v>72</v>
      </c>
    </row>
    <row r="83" spans="1:21" s="32" customFormat="1" ht="18" customHeight="1" x14ac:dyDescent="0.3">
      <c r="A83" s="35" t="s">
        <v>51</v>
      </c>
      <c r="B83" s="36">
        <v>10</v>
      </c>
      <c r="C83" s="43"/>
      <c r="D83" s="43"/>
      <c r="E83" s="43">
        <v>1.7999999999999999E-2</v>
      </c>
      <c r="F83" s="43"/>
      <c r="G83" s="43"/>
      <c r="H83" s="36">
        <f t="shared" si="0"/>
        <v>0</v>
      </c>
      <c r="I83" s="36">
        <f t="shared" si="1"/>
        <v>0</v>
      </c>
      <c r="J83" s="36">
        <f t="shared" si="2"/>
        <v>1.1076923076923075E-6</v>
      </c>
      <c r="K83" s="36">
        <f t="shared" si="3"/>
        <v>0</v>
      </c>
      <c r="L83" s="36">
        <f t="shared" si="4"/>
        <v>0</v>
      </c>
      <c r="M83" s="31"/>
      <c r="N83" s="100">
        <f>(J77-J83)</f>
        <v>4.4670769230769231E-4</v>
      </c>
      <c r="O83" s="100">
        <f>(N83*162)</f>
        <v>7.2366646153846151E-2</v>
      </c>
      <c r="P83" s="100">
        <f>(O83*5/1000)</f>
        <v>3.6183323076923075E-4</v>
      </c>
      <c r="Q83" s="101">
        <f>(P83/0.0144)</f>
        <v>2.5127307692307692E-2</v>
      </c>
      <c r="R83" s="88">
        <v>25.12</v>
      </c>
      <c r="S83" s="96">
        <f>(J77-J83)/J77</f>
        <v>0.99752645320873978</v>
      </c>
      <c r="T83" s="88">
        <f>(J77-J83)/J83</f>
        <v>403.27777777777783</v>
      </c>
      <c r="U83" s="98">
        <f>T83*5/0.0144</f>
        <v>140027.00617283952</v>
      </c>
    </row>
    <row r="84" spans="1:21" s="32" customFormat="1" ht="18" customHeight="1" x14ac:dyDescent="0.3">
      <c r="A84" s="35" t="s">
        <v>52</v>
      </c>
      <c r="B84" s="36">
        <v>10</v>
      </c>
      <c r="C84" s="43"/>
      <c r="D84" s="43"/>
      <c r="E84" s="43"/>
      <c r="F84" s="43"/>
      <c r="G84" s="43">
        <v>4.0000000000000001E-3</v>
      </c>
      <c r="H84" s="36">
        <f t="shared" si="0"/>
        <v>0</v>
      </c>
      <c r="I84" s="36">
        <f t="shared" si="1"/>
        <v>0</v>
      </c>
      <c r="J84" s="36">
        <f t="shared" si="2"/>
        <v>0</v>
      </c>
      <c r="K84" s="36">
        <f t="shared" si="3"/>
        <v>0</v>
      </c>
      <c r="L84" s="36">
        <f t="shared" si="4"/>
        <v>2.8546959748786757E-7</v>
      </c>
      <c r="M84" s="31"/>
      <c r="N84" s="100">
        <f>(L72-L84)</f>
        <v>6.8277190979160705E-4</v>
      </c>
      <c r="O84" s="100">
        <f>(N84*140)</f>
        <v>9.5588067370824981E-2</v>
      </c>
      <c r="P84" s="100">
        <f>(O84*5/1000)</f>
        <v>4.7794033685412488E-4</v>
      </c>
      <c r="Q84" s="101">
        <f>(P84/0.0151)</f>
        <v>3.1651677937359263E-2</v>
      </c>
      <c r="R84" s="88">
        <v>31.65</v>
      </c>
      <c r="S84" s="96">
        <f>(L72-L447)/L72</f>
        <v>1</v>
      </c>
      <c r="T84" s="88">
        <f>(L72-L84)/L84</f>
        <v>2391.7499999999991</v>
      </c>
      <c r="U84" s="98">
        <f>T84*5/0.0151</f>
        <v>791970.19867549639</v>
      </c>
    </row>
    <row r="85" spans="1:21" s="33" customFormat="1" x14ac:dyDescent="0.2"/>
    <row r="86" spans="1:21" s="33" customFormat="1" x14ac:dyDescent="0.2"/>
    <row r="87" spans="1:21" s="33" customFormat="1" x14ac:dyDescent="0.2"/>
  </sheetData>
  <mergeCells count="6">
    <mergeCell ref="C3:G3"/>
    <mergeCell ref="H3:L3"/>
    <mergeCell ref="C70:G70"/>
    <mergeCell ref="H70:L70"/>
    <mergeCell ref="C42:G42"/>
    <mergeCell ref="H42:L4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 Northwest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test</cp:lastModifiedBy>
  <cp:lastPrinted>2015-05-08T16:33:00Z</cp:lastPrinted>
  <dcterms:created xsi:type="dcterms:W3CDTF">2006-12-13T19:02:54Z</dcterms:created>
  <dcterms:modified xsi:type="dcterms:W3CDTF">2016-02-04T01:03:15Z</dcterms:modified>
</cp:coreProperties>
</file>